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46" i="1"/>
  <c r="I46"/>
  <c r="J45"/>
  <c r="J44"/>
  <c r="A42"/>
  <c r="A43" s="1"/>
  <c r="C41"/>
  <c r="I39"/>
  <c r="C36"/>
  <c r="A36"/>
  <c r="A37" s="1"/>
  <c r="C35"/>
  <c r="I32"/>
  <c r="M29"/>
  <c r="I26"/>
  <c r="A25"/>
  <c r="A26" s="1"/>
  <c r="C24"/>
  <c r="N21"/>
  <c r="M19"/>
  <c r="I19"/>
  <c r="C19"/>
  <c r="A19"/>
  <c r="A20" s="1"/>
  <c r="A21" s="1"/>
  <c r="M18"/>
  <c r="I18"/>
  <c r="C18"/>
  <c r="M17"/>
  <c r="I17"/>
  <c r="M16"/>
  <c r="I16"/>
  <c r="M15"/>
  <c r="I15"/>
  <c r="C12"/>
  <c r="A12"/>
  <c r="A14" s="1"/>
  <c r="A15" s="1"/>
  <c r="C11"/>
  <c r="C10"/>
  <c r="C9"/>
  <c r="Q8"/>
  <c r="I34" s="1"/>
  <c r="C8"/>
  <c r="C7"/>
  <c r="C6"/>
  <c r="I5"/>
  <c r="C5"/>
  <c r="A3"/>
  <c r="C2"/>
  <c r="A16" l="1"/>
  <c r="C15"/>
  <c r="A22"/>
  <c r="C21"/>
  <c r="C37"/>
  <c r="A38"/>
  <c r="A44"/>
  <c r="C43"/>
  <c r="A29"/>
  <c r="C26"/>
  <c r="C3"/>
  <c r="C14"/>
  <c r="C20"/>
  <c r="N22"/>
  <c r="O22" s="1"/>
  <c r="N23"/>
  <c r="C25"/>
  <c r="L29"/>
  <c r="M30"/>
  <c r="C42"/>
  <c r="C29" l="1"/>
  <c r="A30"/>
  <c r="A45"/>
  <c r="C44"/>
  <c r="C22"/>
  <c r="A23"/>
  <c r="C23" s="1"/>
  <c r="A17"/>
  <c r="C17" s="1"/>
  <c r="C16"/>
  <c r="C38"/>
  <c r="A39"/>
  <c r="N24"/>
  <c r="C39" l="1"/>
  <c r="A40"/>
  <c r="C40" s="1"/>
  <c r="A31"/>
  <c r="C31" s="1"/>
  <c r="C30"/>
  <c r="P18"/>
  <c r="A4"/>
  <c r="C4" s="1"/>
  <c r="A46"/>
  <c r="C46" s="1"/>
  <c r="C45"/>
  <c r="R18"/>
  <c r="P16" l="1"/>
  <c r="P15"/>
  <c r="R17"/>
  <c r="Q16"/>
  <c r="Q17"/>
  <c r="R15"/>
  <c r="Q15"/>
  <c r="P17"/>
  <c r="R16"/>
  <c r="Q18"/>
  <c r="R23"/>
  <c r="P23"/>
  <c r="Q19"/>
  <c r="R19"/>
  <c r="Q23"/>
  <c r="P19"/>
  <c r="O23" l="1"/>
  <c r="O24" l="1"/>
  <c r="V24"/>
  <c r="T13" s="1"/>
</calcChain>
</file>

<file path=xl/sharedStrings.xml><?xml version="1.0" encoding="utf-8"?>
<sst xmlns="http://schemas.openxmlformats.org/spreadsheetml/2006/main" count="121" uniqueCount="56">
  <si>
    <t>MIN</t>
  </si>
  <si>
    <t>MED</t>
  </si>
  <si>
    <t>MAX</t>
  </si>
  <si>
    <t>Construção e Reforma de Edifícios</t>
  </si>
  <si>
    <t>AC</t>
  </si>
  <si>
    <t>SG</t>
  </si>
  <si>
    <t>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</si>
  <si>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</si>
  <si>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</si>
  <si>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</si>
  <si>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</si>
  <si>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</si>
  <si>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</si>
  <si>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</si>
  <si>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</si>
  <si>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</si>
  <si>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</si>
  <si>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</si>
  <si>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</si>
  <si>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</si>
  <si>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</si>
  <si>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</si>
  <si>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</si>
  <si>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</si>
  <si>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</si>
  <si>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</si>
  <si>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</si>
  <si>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</si>
  <si>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</si>
  <si>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</si>
  <si>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</si>
  <si>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</si>
  <si>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</si>
  <si>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</si>
  <si>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</si>
  <si>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</si>
  <si>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pedir anexo</t>
  </si>
  <si>
    <t>Anexo: Relatório Técnico Circunstanciado justificando a adoção do percentual de cada parcela do BDI.</t>
  </si>
  <si>
    <t>anexo apresentado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</si>
  <si>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</si>
  <si>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</si>
  <si>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</si>
  <si>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</si>
  <si>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</si>
  <si>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</si>
  <si>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</si>
  <si>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</si>
  <si>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</si>
  <si>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</si>
  <si>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</si>
  <si>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Nome:</t>
  </si>
  <si>
    <t>K3</t>
  </si>
  <si>
    <t>Título:</t>
  </si>
  <si>
    <t>Fornecimento de Materiais e Equipamentos (aquisição direta)</t>
  </si>
  <si>
    <t>23 de março de 2019</t>
  </si>
  <si>
    <t>Prefeito Municipal</t>
  </si>
</sst>
</file>

<file path=xl/styles.xml><?xml version="1.0" encoding="utf-8"?>
<styleSheet xmlns="http://schemas.openxmlformats.org/spreadsheetml/2006/main">
  <numFmts count="4">
    <numFmt numFmtId="164" formatCode="_(&quot;R$ &quot;* #,##0.00_);_(&quot;R$ &quot;* \(#,##0.00\);_(&quot;R$ &quot;* &quot;-&quot;??_);_(@_)"/>
    <numFmt numFmtId="165" formatCode="General;General;"/>
    <numFmt numFmtId="166" formatCode="[$-F800]dddd\,\ mmmm\ dd\,\ yyyy"/>
    <numFmt numFmtId="167" formatCode="dd\ &quot;de&quot;\ mmmm\ &quot;de&quot;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Protection="1"/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10" fontId="4" fillId="0" borderId="1" xfId="1" applyNumberFormat="1" applyFont="1" applyFill="1" applyBorder="1" applyAlignment="1" applyProtection="1">
      <alignment horizontal="center"/>
    </xf>
    <xf numFmtId="0" fontId="2" fillId="0" borderId="2" xfId="2" applyFont="1" applyBorder="1" applyAlignment="1" applyProtection="1">
      <alignment horizontal="left" vertical="top"/>
    </xf>
    <xf numFmtId="0" fontId="2" fillId="0" borderId="3" xfId="2" applyFont="1" applyBorder="1" applyAlignment="1" applyProtection="1">
      <alignment horizontal="left" vertical="top"/>
    </xf>
    <xf numFmtId="0" fontId="2" fillId="0" borderId="0" xfId="2" applyFont="1" applyBorder="1" applyAlignment="1" applyProtection="1">
      <alignment horizontal="left" vertical="top"/>
    </xf>
    <xf numFmtId="0" fontId="2" fillId="0" borderId="0" xfId="1" applyFont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left" wrapText="1"/>
    </xf>
    <xf numFmtId="164" fontId="5" fillId="2" borderId="4" xfId="3" applyFont="1" applyFill="1" applyBorder="1" applyAlignment="1" applyProtection="1">
      <alignment horizontal="left"/>
      <protection locked="0"/>
    </xf>
    <xf numFmtId="164" fontId="5" fillId="2" borderId="6" xfId="3" applyFont="1" applyFill="1" applyBorder="1" applyAlignment="1" applyProtection="1">
      <alignment horizontal="left"/>
      <protection locked="0"/>
    </xf>
    <xf numFmtId="164" fontId="5" fillId="2" borderId="5" xfId="3" applyFont="1" applyFill="1" applyBorder="1" applyAlignment="1" applyProtection="1">
      <alignment horizontal="left"/>
      <protection locked="0"/>
    </xf>
    <xf numFmtId="0" fontId="1" fillId="0" borderId="4" xfId="1" applyFont="1" applyFill="1" applyBorder="1" applyAlignment="1" applyProtection="1">
      <alignment horizontal="center" vertical="top" wrapText="1"/>
    </xf>
    <xf numFmtId="0" fontId="1" fillId="0" borderId="5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left" wrapText="1"/>
    </xf>
    <xf numFmtId="10" fontId="5" fillId="2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top" wrapText="1"/>
    </xf>
    <xf numFmtId="0" fontId="7" fillId="0" borderId="0" xfId="1" applyFont="1" applyAlignment="1" applyProtection="1">
      <alignment vertical="top" wrapText="1"/>
    </xf>
    <xf numFmtId="0" fontId="1" fillId="0" borderId="1" xfId="1" applyFont="1" applyBorder="1" applyAlignment="1" applyProtection="1">
      <alignment horizontal="left" vertical="center" wrapText="1"/>
    </xf>
    <xf numFmtId="0" fontId="8" fillId="0" borderId="1" xfId="1" applyFont="1" applyBorder="1" applyAlignment="1" applyProtection="1">
      <alignment horizontal="center" vertical="center"/>
    </xf>
    <xf numFmtId="10" fontId="8" fillId="2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</xf>
    <xf numFmtId="10" fontId="8" fillId="0" borderId="1" xfId="1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1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wrapText="1"/>
    </xf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10" fontId="10" fillId="0" borderId="0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/>
    </xf>
    <xf numFmtId="0" fontId="1" fillId="0" borderId="0" xfId="1" applyFont="1" applyProtection="1">
      <protection locked="0"/>
    </xf>
    <xf numFmtId="0" fontId="12" fillId="0" borderId="1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/>
    </xf>
    <xf numFmtId="0" fontId="14" fillId="0" borderId="0" xfId="0" quotePrefix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top"/>
    </xf>
    <xf numFmtId="0" fontId="17" fillId="0" borderId="1" xfId="1" applyFont="1" applyBorder="1" applyAlignment="1" applyProtection="1">
      <alignment horizontal="center" vertical="center" wrapText="1"/>
    </xf>
    <xf numFmtId="49" fontId="1" fillId="2" borderId="9" xfId="1" applyNumberFormat="1" applyFont="1" applyFill="1" applyBorder="1" applyAlignment="1" applyProtection="1">
      <alignment horizontal="left" vertical="top" wrapText="1"/>
      <protection locked="0"/>
    </xf>
    <xf numFmtId="49" fontId="1" fillId="2" borderId="10" xfId="1" applyNumberFormat="1" applyFont="1" applyFill="1" applyBorder="1" applyAlignment="1" applyProtection="1">
      <alignment horizontal="left" vertical="top" wrapText="1"/>
      <protection locked="0"/>
    </xf>
    <xf numFmtId="49" fontId="1" fillId="2" borderId="11" xfId="1" applyNumberFormat="1" applyFont="1" applyFill="1" applyBorder="1" applyAlignment="1" applyProtection="1">
      <alignment horizontal="left" vertical="top" wrapText="1"/>
      <protection locked="0"/>
    </xf>
    <xf numFmtId="165" fontId="1" fillId="0" borderId="6" xfId="1" applyNumberFormat="1" applyFont="1" applyFill="1" applyBorder="1" applyAlignment="1" applyProtection="1">
      <alignment horizontal="left"/>
    </xf>
    <xf numFmtId="166" fontId="1" fillId="0" borderId="6" xfId="1" applyNumberFormat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center"/>
    </xf>
    <xf numFmtId="167" fontId="1" fillId="0" borderId="0" xfId="1" applyNumberFormat="1" applyFont="1" applyAlignment="1" applyProtection="1"/>
    <xf numFmtId="0" fontId="2" fillId="0" borderId="8" xfId="1" applyFont="1" applyBorder="1" applyAlignment="1" applyProtection="1">
      <alignment horizontal="left"/>
    </xf>
    <xf numFmtId="0" fontId="1" fillId="0" borderId="8" xfId="1" applyFont="1" applyBorder="1" applyProtection="1"/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Border="1" applyProtection="1"/>
    <xf numFmtId="0" fontId="1" fillId="0" borderId="8" xfId="1" applyFont="1" applyBorder="1" applyAlignment="1" applyProtection="1">
      <alignment horizontal="center" vertical="center"/>
    </xf>
    <xf numFmtId="0" fontId="1" fillId="0" borderId="0" xfId="1" applyFont="1" applyBorder="1" applyProtection="1"/>
    <xf numFmtId="0" fontId="2" fillId="0" borderId="0" xfId="2" applyFont="1" applyBorder="1" applyAlignment="1" applyProtection="1">
      <alignment horizontal="left" vertical="top"/>
    </xf>
    <xf numFmtId="165" fontId="1" fillId="0" borderId="0" xfId="1" applyNumberFormat="1" applyFont="1" applyFill="1" applyBorder="1" applyAlignment="1" applyProtection="1">
      <alignment horizontal="left"/>
    </xf>
    <xf numFmtId="0" fontId="8" fillId="0" borderId="0" xfId="1" applyFont="1" applyProtection="1"/>
    <xf numFmtId="0" fontId="8" fillId="0" borderId="0" xfId="1" applyFont="1" applyAlignment="1" applyProtection="1">
      <alignment vertical="top"/>
    </xf>
  </cellXfs>
  <cellStyles count="4">
    <cellStyle name="Moeda_Composicao BDI v2.1" xfId="3"/>
    <cellStyle name="Normal" xfId="0" builtinId="0"/>
    <cellStyle name="Normal 2" xfId="1"/>
    <cellStyle name="Normal_FICHA DE VERIFICAÇÃO PRELIMINAR - Plano R" xfId="2"/>
  </cellStyles>
  <dxfs count="2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ngenharia\Pasta%20Usuario\Desktop\Geral\Financiamentos\Bohn%20Gass\Planilha%20Or&#231;ament&#225;ri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  <sheetName val="SINAPI"/>
      <sheetName val="Composições"/>
      <sheetName val="Fornecedores"/>
      <sheetName val="Cotações"/>
      <sheetName val="Índices"/>
    </sheetNames>
    <sheetDataSet>
      <sheetData sheetId="0">
        <row r="26">
          <cell r="Q26" t="str">
            <v>PAVIMENTAÇÃO</v>
          </cell>
        </row>
        <row r="32">
          <cell r="C32" t="str">
            <v>Sim</v>
          </cell>
        </row>
        <row r="48">
          <cell r="B48" t="str">
            <v>Pedro Luis Kraemer</v>
          </cell>
        </row>
        <row r="49">
          <cell r="B49" t="str">
            <v>Engenheiro Civil</v>
          </cell>
        </row>
        <row r="50">
          <cell r="A50" t="str">
            <v>CREA/CAU:</v>
          </cell>
          <cell r="B50" t="str">
            <v>91807D</v>
          </cell>
        </row>
      </sheetData>
      <sheetData sheetId="1"/>
      <sheetData sheetId="2">
        <row r="43">
          <cell r="K43" t="str">
            <v>SALVADOR DAS MISSÕES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topLeftCell="I1" workbookViewId="0">
      <selection activeCell="N48" sqref="N48"/>
    </sheetView>
  </sheetViews>
  <sheetFormatPr defaultColWidth="0" defaultRowHeight="12.75" customHeight="1" zeroHeight="1"/>
  <cols>
    <col min="1" max="1" width="30.28515625" style="1" hidden="1" customWidth="1"/>
    <col min="2" max="3" width="9.140625" style="1" hidden="1" customWidth="1"/>
    <col min="4" max="4" width="23.5703125" style="1" hidden="1" customWidth="1"/>
    <col min="5" max="8" width="9.140625" style="1" hidden="1" customWidth="1"/>
    <col min="9" max="14" width="10.7109375" style="1" customWidth="1"/>
    <col min="15" max="15" width="12.85546875" style="1" customWidth="1"/>
    <col min="16" max="18" width="10.7109375" style="1" customWidth="1"/>
    <col min="19" max="19" width="3.7109375" style="1" customWidth="1"/>
    <col min="20" max="20" width="29.5703125" style="1" customWidth="1"/>
    <col min="21" max="21" width="13.7109375" style="1" customWidth="1"/>
    <col min="22" max="16384" width="9.140625" style="1" hidden="1"/>
  </cols>
  <sheetData>
    <row r="1" spans="1:29" ht="15.75">
      <c r="E1" s="2" t="s">
        <v>0</v>
      </c>
      <c r="F1" s="2" t="s">
        <v>1</v>
      </c>
      <c r="G1" s="2" t="s">
        <v>2</v>
      </c>
      <c r="N1" s="3"/>
      <c r="Q1"/>
      <c r="R1"/>
    </row>
    <row r="2" spans="1:29" ht="15">
      <c r="A2" s="1" t="s">
        <v>3</v>
      </c>
      <c r="B2" s="4" t="s">
        <v>4</v>
      </c>
      <c r="C2" s="1" t="str">
        <f t="shared" ref="C2:C46" si="0">CONCATENATE(A2,"-",B2)</f>
        <v>Construção e Reforma de Edifícios-AC</v>
      </c>
      <c r="E2" s="5">
        <v>0.03</v>
      </c>
      <c r="F2" s="5">
        <v>0.04</v>
      </c>
      <c r="G2" s="5">
        <v>5.5E-2</v>
      </c>
      <c r="Q2"/>
      <c r="R2"/>
    </row>
    <row r="3" spans="1:29">
      <c r="A3" s="1" t="str">
        <f>A2</f>
        <v>Construção e Reforma de Edifícios</v>
      </c>
      <c r="B3" s="4" t="s">
        <v>5</v>
      </c>
      <c r="C3" s="1" t="str">
        <f t="shared" si="0"/>
        <v>Construção e Reforma de Edifícios-SG</v>
      </c>
      <c r="E3" s="5">
        <v>8.0000000000000002E-3</v>
      </c>
      <c r="F3" s="5">
        <v>8.0000000000000002E-3</v>
      </c>
      <c r="G3" s="5">
        <v>0.01</v>
      </c>
    </row>
    <row r="4" spans="1:29">
      <c r="A4" s="1" t="e">
        <f>#REF!</f>
        <v>#REF!</v>
      </c>
      <c r="B4" s="10" t="s">
        <v>9</v>
      </c>
      <c r="C4" s="1" t="e">
        <f t="shared" si="0"/>
        <v>#REF!</v>
      </c>
      <c r="E4" s="5">
        <v>0.2034</v>
      </c>
      <c r="F4" s="5">
        <v>0.22120000000000001</v>
      </c>
      <c r="G4" s="5">
        <v>0.25</v>
      </c>
      <c r="I4" s="6" t="s">
        <v>10</v>
      </c>
      <c r="J4" s="8"/>
      <c r="K4" s="8"/>
      <c r="L4" s="8"/>
      <c r="M4" s="8"/>
      <c r="N4" s="8"/>
      <c r="O4" s="8"/>
      <c r="P4" s="8"/>
      <c r="Q4" s="8"/>
      <c r="R4" s="7"/>
    </row>
    <row r="5" spans="1:29">
      <c r="A5" s="1" t="s">
        <v>11</v>
      </c>
      <c r="B5" s="4" t="s">
        <v>4</v>
      </c>
      <c r="C5" s="1" t="str">
        <f t="shared" si="0"/>
        <v>Construção de Praças Urbanas, Rodovias, Ferrovias e recapeamento e pavimentação de vias urbanas-AC</v>
      </c>
      <c r="E5" s="5">
        <v>3.7999999999999999E-2</v>
      </c>
      <c r="F5" s="5">
        <v>4.0099999999999997E-2</v>
      </c>
      <c r="G5" s="5">
        <v>4.6699999999999998E-2</v>
      </c>
      <c r="I5" s="11" t="str">
        <f>[1]DADOS!Q26</f>
        <v>PAVIMENTAÇÃO</v>
      </c>
      <c r="J5" s="11"/>
      <c r="K5" s="11"/>
      <c r="L5" s="11"/>
      <c r="M5" s="11"/>
      <c r="N5" s="11"/>
      <c r="O5" s="11"/>
      <c r="P5" s="11"/>
      <c r="Q5" s="11"/>
      <c r="R5" s="11"/>
    </row>
    <row r="6" spans="1:29">
      <c r="A6" s="1" t="s">
        <v>11</v>
      </c>
      <c r="B6" s="4" t="s">
        <v>5</v>
      </c>
      <c r="C6" s="1" t="str">
        <f t="shared" si="0"/>
        <v>Construção de Praças Urbanas, Rodovias, Ferrovias e recapeamento e pavimentação de vias urbanas-SG</v>
      </c>
      <c r="E6" s="5">
        <v>3.2000000000000002E-3</v>
      </c>
      <c r="F6" s="5">
        <v>4.0000000000000001E-3</v>
      </c>
      <c r="G6" s="5">
        <v>7.4000000000000003E-3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29">
      <c r="A7" s="1" t="s">
        <v>11</v>
      </c>
      <c r="B7" s="4" t="s">
        <v>6</v>
      </c>
      <c r="C7" s="1" t="str">
        <f t="shared" si="0"/>
        <v>Construção de Praças Urbanas, Rodovias, Ferrovias e recapeamento e pavimentação de vias urbanas-R</v>
      </c>
      <c r="E7" s="5">
        <v>5.0000000000000001E-3</v>
      </c>
      <c r="F7" s="5">
        <v>5.6000000000000008E-3</v>
      </c>
      <c r="G7" s="5">
        <v>9.7000000000000003E-3</v>
      </c>
      <c r="I7" s="6" t="s">
        <v>12</v>
      </c>
      <c r="J7" s="8"/>
      <c r="K7" s="8"/>
      <c r="L7" s="8"/>
      <c r="M7" s="8"/>
      <c r="N7" s="8"/>
      <c r="O7" s="8"/>
      <c r="P7" s="8"/>
      <c r="Q7" s="6" t="s">
        <v>13</v>
      </c>
      <c r="R7" s="7"/>
    </row>
    <row r="8" spans="1:29">
      <c r="A8" s="1" t="s">
        <v>11</v>
      </c>
      <c r="B8" s="4" t="s">
        <v>7</v>
      </c>
      <c r="C8" s="1" t="str">
        <f t="shared" si="0"/>
        <v>Construção de Praças Urbanas, Rodovias, Ferrovias e recapeamento e pavimentação de vias urbanas-DF</v>
      </c>
      <c r="E8" s="5">
        <v>1.0200000000000001E-2</v>
      </c>
      <c r="F8" s="5">
        <v>1.11E-2</v>
      </c>
      <c r="G8" s="5">
        <v>1.21E-2</v>
      </c>
      <c r="I8" s="12" t="s">
        <v>11</v>
      </c>
      <c r="J8" s="13"/>
      <c r="K8" s="13"/>
      <c r="L8" s="13"/>
      <c r="M8" s="13"/>
      <c r="N8" s="13"/>
      <c r="O8" s="13"/>
      <c r="P8" s="14"/>
      <c r="Q8" s="15" t="str">
        <f>[1]DADOS!$C$32</f>
        <v>Sim</v>
      </c>
      <c r="R8" s="16"/>
    </row>
    <row r="9" spans="1:29">
      <c r="A9" s="1" t="s">
        <v>11</v>
      </c>
      <c r="B9" s="4" t="s">
        <v>8</v>
      </c>
      <c r="C9" s="1" t="str">
        <f t="shared" si="0"/>
        <v>Construção de Praças Urbanas, Rodovias, Ferrovias e recapeamento e pavimentação de vias urbanas-L</v>
      </c>
      <c r="E9" s="5">
        <v>6.6400000000000001E-2</v>
      </c>
      <c r="F9" s="5">
        <v>7.2999999999999995E-2</v>
      </c>
      <c r="G9" s="5">
        <v>8.6899999999999991E-2</v>
      </c>
    </row>
    <row r="10" spans="1:29">
      <c r="A10" s="1" t="s">
        <v>11</v>
      </c>
      <c r="B10" s="10" t="s">
        <v>9</v>
      </c>
      <c r="C10" s="1" t="str">
        <f t="shared" si="0"/>
        <v>Construção de Praças Urbanas, Rodovias, Ferrovias e recapeamento e pavimentação de vias urbanas-BDI PAD</v>
      </c>
      <c r="E10" s="5">
        <v>0.19600000000000001</v>
      </c>
      <c r="F10" s="5">
        <v>0.2097</v>
      </c>
      <c r="G10" s="5">
        <v>0.24230000000000002</v>
      </c>
      <c r="I10" s="17" t="s">
        <v>14</v>
      </c>
      <c r="J10" s="17"/>
      <c r="K10" s="17"/>
      <c r="L10" s="17"/>
      <c r="M10" s="17"/>
      <c r="N10" s="17"/>
      <c r="O10" s="17"/>
      <c r="P10" s="17"/>
      <c r="Q10" s="18">
        <v>1</v>
      </c>
      <c r="R10" s="18"/>
    </row>
    <row r="11" spans="1:29">
      <c r="A11" s="1" t="s">
        <v>15</v>
      </c>
      <c r="B11" s="4" t="s">
        <v>4</v>
      </c>
      <c r="C11" s="1" t="str">
        <f t="shared" si="0"/>
        <v>Construção de Redes de Abastecimento de Água, Coleta de Esgoto-AC</v>
      </c>
      <c r="E11" s="5">
        <v>3.4300000000000004E-2</v>
      </c>
      <c r="F11" s="5">
        <v>4.9299999999999997E-2</v>
      </c>
      <c r="G11" s="5">
        <v>6.7099999999999993E-2</v>
      </c>
      <c r="I11" s="19" t="s">
        <v>16</v>
      </c>
      <c r="J11" s="19"/>
      <c r="K11" s="19"/>
      <c r="L11" s="19"/>
      <c r="M11" s="19"/>
      <c r="N11" s="19"/>
      <c r="O11" s="19"/>
      <c r="P11" s="19"/>
      <c r="Q11" s="18">
        <v>0.03</v>
      </c>
      <c r="R11" s="18"/>
    </row>
    <row r="12" spans="1:29">
      <c r="A12" s="1" t="str">
        <f>A11</f>
        <v>Construção de Redes de Abastecimento de Água, Coleta de Esgoto</v>
      </c>
      <c r="B12" s="4" t="s">
        <v>5</v>
      </c>
      <c r="C12" s="1" t="str">
        <f t="shared" si="0"/>
        <v>Construção de Redes de Abastecimento de Água, Coleta de Esgoto-SG</v>
      </c>
      <c r="E12" s="5">
        <v>2.8000000000000004E-3</v>
      </c>
      <c r="F12" s="5">
        <v>4.8999999999999998E-3</v>
      </c>
      <c r="G12" s="5">
        <v>7.4999999999999997E-3</v>
      </c>
    </row>
    <row r="13" spans="1:29" ht="26.25">
      <c r="B13" s="4"/>
      <c r="E13" s="5"/>
      <c r="F13" s="5"/>
      <c r="G13" s="5"/>
      <c r="I13" s="20" t="s">
        <v>17</v>
      </c>
      <c r="J13" s="20"/>
      <c r="K13" s="20"/>
      <c r="L13" s="20"/>
      <c r="M13" s="20" t="s">
        <v>18</v>
      </c>
      <c r="N13" s="21" t="s">
        <v>19</v>
      </c>
      <c r="O13" s="21" t="s">
        <v>20</v>
      </c>
      <c r="P13" s="22" t="s">
        <v>21</v>
      </c>
      <c r="Q13" s="22" t="s">
        <v>22</v>
      </c>
      <c r="R13" s="23" t="s">
        <v>23</v>
      </c>
      <c r="T13" s="24" t="str">
        <f>IF(V24,"Para BDI fora do intervalo estatístico, deve ser apresentado Relatório Técnico Circunstanciado justificando a adoção do percentual de cada parcela do BDI.","")</f>
        <v/>
      </c>
      <c r="U13" s="24"/>
      <c r="V13" s="25"/>
      <c r="W13" s="25"/>
      <c r="X13" s="25"/>
      <c r="Y13" s="25"/>
      <c r="Z13" s="25"/>
      <c r="AA13" s="25"/>
      <c r="AB13" s="25"/>
      <c r="AC13" s="25"/>
    </row>
    <row r="14" spans="1:29" ht="15.75" customHeight="1">
      <c r="A14" s="1" t="str">
        <f>A12</f>
        <v>Construção de Redes de Abastecimento de Água, Coleta de Esgoto</v>
      </c>
      <c r="B14" s="4" t="s">
        <v>6</v>
      </c>
      <c r="C14" s="1" t="str">
        <f t="shared" si="0"/>
        <v>Construção de Redes de Abastecimento de Água, Coleta de Esgoto-R</v>
      </c>
      <c r="E14" s="5">
        <v>0.01</v>
      </c>
      <c r="F14" s="5">
        <v>1.3899999999999999E-2</v>
      </c>
      <c r="G14" s="5">
        <v>1.7399999999999999E-2</v>
      </c>
      <c r="I14" s="20"/>
      <c r="J14" s="20"/>
      <c r="K14" s="20"/>
      <c r="L14" s="20"/>
      <c r="M14" s="20"/>
      <c r="N14" s="21"/>
      <c r="O14" s="21"/>
      <c r="P14" s="22"/>
      <c r="Q14" s="22"/>
      <c r="R14" s="23"/>
      <c r="T14" s="24"/>
      <c r="U14" s="24"/>
      <c r="V14" s="25"/>
      <c r="W14" s="25"/>
      <c r="X14" s="25"/>
      <c r="Y14" s="25"/>
      <c r="Z14" s="25"/>
      <c r="AA14" s="25"/>
      <c r="AB14" s="25"/>
      <c r="AC14" s="25"/>
    </row>
    <row r="15" spans="1:29" ht="26.25" customHeight="1">
      <c r="A15" s="1" t="str">
        <f>A14</f>
        <v>Construção de Redes de Abastecimento de Água, Coleta de Esgoto</v>
      </c>
      <c r="B15" s="4" t="s">
        <v>7</v>
      </c>
      <c r="C15" s="1" t="str">
        <f t="shared" si="0"/>
        <v>Construção de Redes de Abastecimento de Água, Coleta de Esgoto-DF</v>
      </c>
      <c r="E15" s="5">
        <v>9.3999999999999986E-3</v>
      </c>
      <c r="F15" s="5">
        <v>9.8999999999999991E-3</v>
      </c>
      <c r="G15" s="5">
        <v>1.1699999999999999E-2</v>
      </c>
      <c r="I15" s="26" t="str">
        <f>IF($I$8=$A$56,"Encargos Sociais incidentes sobre a mão de obra","Administração Central")</f>
        <v>Administração Central</v>
      </c>
      <c r="J15" s="26"/>
      <c r="K15" s="26"/>
      <c r="L15" s="26"/>
      <c r="M15" s="27" t="str">
        <f>IF($I$8=$A$56,"K1","AC")</f>
        <v>AC</v>
      </c>
      <c r="N15" s="28">
        <v>0.04</v>
      </c>
      <c r="O15" s="29" t="s">
        <v>24</v>
      </c>
      <c r="P15" s="30">
        <f>VLOOKUP(CONCATENATE(I$8,"-",M15),$C$2:$G$46,3,FALSE)</f>
        <v>3.7999999999999999E-2</v>
      </c>
      <c r="Q15" s="30">
        <f>VLOOKUP(CONCATENATE(I$8,"-",M15),$C$2:$G$46,4,FALSE)</f>
        <v>4.0099999999999997E-2</v>
      </c>
      <c r="R15" s="30">
        <f>VLOOKUP(CONCATENATE(I$8,"-",M15),$C$2:$G$46,5,FALSE)</f>
        <v>4.6699999999999998E-2</v>
      </c>
      <c r="T15" s="24"/>
      <c r="U15" s="24"/>
      <c r="V15" s="25"/>
      <c r="W15" s="25"/>
      <c r="X15" s="25"/>
      <c r="Y15" s="25"/>
      <c r="Z15" s="25"/>
      <c r="AA15" s="25"/>
      <c r="AB15" s="25"/>
      <c r="AC15" s="25"/>
    </row>
    <row r="16" spans="1:29" ht="26.25" customHeight="1">
      <c r="A16" s="1" t="str">
        <f>A15</f>
        <v>Construção de Redes de Abastecimento de Água, Coleta de Esgoto</v>
      </c>
      <c r="B16" s="4" t="s">
        <v>8</v>
      </c>
      <c r="C16" s="1" t="str">
        <f t="shared" si="0"/>
        <v>Construção de Redes de Abastecimento de Água, Coleta de Esgoto-L</v>
      </c>
      <c r="E16" s="5">
        <v>6.7400000000000002E-2</v>
      </c>
      <c r="F16" s="5">
        <v>8.0399999999999985E-2</v>
      </c>
      <c r="G16" s="5">
        <v>9.4E-2</v>
      </c>
      <c r="I16" s="26" t="str">
        <f>IF($I$8=$A$56,"Administração Central da empresa ou consultoria - overhead","Seguro e Garantia")</f>
        <v>Seguro e Garantia</v>
      </c>
      <c r="J16" s="26"/>
      <c r="K16" s="26"/>
      <c r="L16" s="26"/>
      <c r="M16" s="27" t="str">
        <f>IF($I$8=$A$56,"K2","SG")</f>
        <v>SG</v>
      </c>
      <c r="N16" s="28">
        <v>8.0000000000000002E-3</v>
      </c>
      <c r="O16" s="29" t="s">
        <v>24</v>
      </c>
      <c r="P16" s="30">
        <f>VLOOKUP(CONCATENATE(I$8,"-",M16),$C$2:$G$46,3,FALSE)</f>
        <v>3.2000000000000002E-3</v>
      </c>
      <c r="Q16" s="30">
        <f>VLOOKUP(CONCATENATE(I$8,"-",M16),$C$2:$G$46,4,FALSE)</f>
        <v>4.0000000000000001E-3</v>
      </c>
      <c r="R16" s="30">
        <f>VLOOKUP(CONCATENATE(I$8,"-",M16),$C$2:$G$46,5,FALSE)</f>
        <v>7.4000000000000003E-3</v>
      </c>
      <c r="T16" s="24"/>
      <c r="U16" s="24"/>
      <c r="V16" s="25"/>
      <c r="W16" s="25"/>
      <c r="X16" s="25"/>
      <c r="Y16" s="25"/>
      <c r="Z16" s="25"/>
      <c r="AA16" s="25"/>
      <c r="AB16" s="25"/>
      <c r="AC16" s="25"/>
    </row>
    <row r="17" spans="1:31" ht="26.25" customHeight="1">
      <c r="A17" s="1" t="str">
        <f>A16</f>
        <v>Construção de Redes de Abastecimento de Água, Coleta de Esgoto</v>
      </c>
      <c r="B17" s="10" t="s">
        <v>9</v>
      </c>
      <c r="C17" s="1" t="str">
        <f t="shared" si="0"/>
        <v>Construção de Redes de Abastecimento de Água, Coleta de Esgoto-BDI PAD</v>
      </c>
      <c r="E17" s="5">
        <v>0.20760000000000001</v>
      </c>
      <c r="F17" s="5">
        <v>0.24179999999999999</v>
      </c>
      <c r="G17" s="5">
        <v>0.26440000000000002</v>
      </c>
      <c r="I17" s="26" t="str">
        <f>IF($I$8=$A$56,"","Risco")</f>
        <v>Risco</v>
      </c>
      <c r="J17" s="26"/>
      <c r="K17" s="26"/>
      <c r="L17" s="26"/>
      <c r="M17" s="27" t="str">
        <f>IF($I$8=$A$56,"","R")</f>
        <v>R</v>
      </c>
      <c r="N17" s="28">
        <v>1.2699999999999999E-2</v>
      </c>
      <c r="O17" s="29" t="s">
        <v>24</v>
      </c>
      <c r="P17" s="30">
        <f>VLOOKUP(CONCATENATE(I$8,"-",M17),$C$2:$G$46,3,FALSE)</f>
        <v>5.0000000000000001E-3</v>
      </c>
      <c r="Q17" s="30">
        <f>VLOOKUP(CONCATENATE(I$8,"-",M17),$C$2:$G$46,4,FALSE)</f>
        <v>5.6000000000000008E-3</v>
      </c>
      <c r="R17" s="30">
        <f>VLOOKUP(CONCATENATE(I$8,"-",M17),$C$2:$G$46,5,FALSE)</f>
        <v>9.7000000000000003E-3</v>
      </c>
      <c r="T17" s="24"/>
      <c r="U17" s="24"/>
      <c r="V17" s="25"/>
      <c r="W17" s="25"/>
      <c r="X17" s="25"/>
      <c r="Y17" s="25"/>
      <c r="Z17" s="25"/>
      <c r="AA17" s="25"/>
      <c r="AB17" s="25"/>
      <c r="AC17" s="25"/>
    </row>
    <row r="18" spans="1:31" ht="26.25" customHeight="1">
      <c r="A18" s="1" t="s">
        <v>25</v>
      </c>
      <c r="B18" s="4" t="s">
        <v>4</v>
      </c>
      <c r="C18" s="1" t="str">
        <f t="shared" si="0"/>
        <v>Construção e Manutenção de Estações e Redes de Distribuição de Energia Elétrica-AC</v>
      </c>
      <c r="E18" s="5">
        <v>5.2900000000000003E-2</v>
      </c>
      <c r="F18" s="5">
        <v>5.9200000000000003E-2</v>
      </c>
      <c r="G18" s="5">
        <v>7.9299999999999995E-2</v>
      </c>
      <c r="I18" s="26" t="str">
        <f>IF($I$8=$A$56,"","Despesas Financeiras")</f>
        <v>Despesas Financeiras</v>
      </c>
      <c r="J18" s="26"/>
      <c r="K18" s="26"/>
      <c r="L18" s="26"/>
      <c r="M18" s="27" t="str">
        <f>IF($I$8=$A$56,"","DF")</f>
        <v>DF</v>
      </c>
      <c r="N18" s="28">
        <v>1.23E-2</v>
      </c>
      <c r="O18" s="29" t="s">
        <v>24</v>
      </c>
      <c r="P18" s="30">
        <f>VLOOKUP(CONCATENATE(I$8,"-",M18),$C$2:$G$46,3,FALSE)</f>
        <v>1.0200000000000001E-2</v>
      </c>
      <c r="Q18" s="30">
        <f>VLOOKUP(CONCATENATE(I$8,"-",M18),$C$2:$G$46,4,FALSE)</f>
        <v>1.11E-2</v>
      </c>
      <c r="R18" s="30">
        <f>VLOOKUP(CONCATENATE(I$8,"-",M18),$C$2:$G$46,5,FALSE)</f>
        <v>1.21E-2</v>
      </c>
      <c r="T18" s="24"/>
      <c r="U18" s="24"/>
    </row>
    <row r="19" spans="1:31" ht="26.25" customHeight="1">
      <c r="A19" s="1" t="str">
        <f>A18</f>
        <v>Construção e Manutenção de Estações e Redes de Distribuição de Energia Elétrica</v>
      </c>
      <c r="B19" s="4" t="s">
        <v>5</v>
      </c>
      <c r="C19" s="1" t="str">
        <f t="shared" si="0"/>
        <v>Construção e Manutenção de Estações e Redes de Distribuição de Energia Elétrica-SG</v>
      </c>
      <c r="E19" s="5">
        <v>2.5000000000000001E-3</v>
      </c>
      <c r="F19" s="5">
        <v>5.1000000000000004E-3</v>
      </c>
      <c r="G19" s="5">
        <v>5.6000000000000008E-3</v>
      </c>
      <c r="I19" s="26" t="str">
        <f>IF($I$8=$A$56,"Margem bruta da empresa de consultoria","Lucro")</f>
        <v>Lucro</v>
      </c>
      <c r="J19" s="26"/>
      <c r="K19" s="26"/>
      <c r="L19" s="26"/>
      <c r="M19" s="27" t="str">
        <f>IF($I$8=$A$56,"K3","L")</f>
        <v>L</v>
      </c>
      <c r="N19" s="28">
        <v>7.3999999999999996E-2</v>
      </c>
      <c r="O19" s="29" t="s">
        <v>24</v>
      </c>
      <c r="P19" s="30">
        <f>VLOOKUP(CONCATENATE(I$8,"-",M19),$C$2:$G$46,3,FALSE)</f>
        <v>6.6400000000000001E-2</v>
      </c>
      <c r="Q19" s="30">
        <f>VLOOKUP(CONCATENATE(I$8,"-",M19),$C$2:$G$46,4,FALSE)</f>
        <v>7.2999999999999995E-2</v>
      </c>
      <c r="R19" s="30">
        <f>VLOOKUP(CONCATENATE(I$8,"-",M19),$C$2:$G$46,5,FALSE)</f>
        <v>8.6899999999999991E-2</v>
      </c>
      <c r="T19" s="24"/>
      <c r="U19" s="24"/>
    </row>
    <row r="20" spans="1:31" ht="26.25" customHeight="1">
      <c r="A20" s="1" t="str">
        <f>A19</f>
        <v>Construção e Manutenção de Estações e Redes de Distribuição de Energia Elétrica</v>
      </c>
      <c r="B20" s="4" t="s">
        <v>6</v>
      </c>
      <c r="C20" s="1" t="str">
        <f t="shared" si="0"/>
        <v>Construção e Manutenção de Estações e Redes de Distribuição de Energia Elétrica-R</v>
      </c>
      <c r="E20" s="5">
        <v>0.01</v>
      </c>
      <c r="F20" s="5">
        <v>1.4800000000000001E-2</v>
      </c>
      <c r="G20" s="5">
        <v>1.9699999999999999E-2</v>
      </c>
      <c r="I20" s="31" t="s">
        <v>26</v>
      </c>
      <c r="J20" s="31"/>
      <c r="K20" s="31"/>
      <c r="L20" s="31"/>
      <c r="M20" s="27" t="s">
        <v>27</v>
      </c>
      <c r="N20" s="28">
        <v>3.6499999999999998E-2</v>
      </c>
      <c r="O20" s="29" t="s">
        <v>24</v>
      </c>
      <c r="P20" s="30">
        <v>3.6499999999999998E-2</v>
      </c>
      <c r="Q20" s="30">
        <v>3.6499999999999998E-2</v>
      </c>
      <c r="R20" s="30">
        <v>3.6499999999999998E-2</v>
      </c>
      <c r="T20" s="24"/>
      <c r="U20" s="24"/>
    </row>
    <row r="21" spans="1:31" ht="26.25" customHeight="1">
      <c r="A21" s="1" t="str">
        <f>A20</f>
        <v>Construção e Manutenção de Estações e Redes de Distribuição de Energia Elétrica</v>
      </c>
      <c r="B21" s="4" t="s">
        <v>7</v>
      </c>
      <c r="C21" s="1" t="str">
        <f t="shared" si="0"/>
        <v>Construção e Manutenção de Estações e Redes de Distribuição de Energia Elétrica-DF</v>
      </c>
      <c r="E21" s="5">
        <v>1.01E-2</v>
      </c>
      <c r="F21" s="5">
        <v>1.0700000000000001E-2</v>
      </c>
      <c r="G21" s="5">
        <v>1.11E-2</v>
      </c>
      <c r="I21" s="26" t="s">
        <v>28</v>
      </c>
      <c r="J21" s="26"/>
      <c r="K21" s="26"/>
      <c r="L21" s="26"/>
      <c r="M21" s="27" t="s">
        <v>29</v>
      </c>
      <c r="N21" s="30">
        <f>IF(AND($I$8&lt;&gt;$A$54,$I$8&lt;&gt;$A$55),Q11*Q10,0)</f>
        <v>0.03</v>
      </c>
      <c r="O21" s="29" t="s">
        <v>24</v>
      </c>
      <c r="P21" s="30">
        <v>0</v>
      </c>
      <c r="Q21" s="30">
        <v>2.5000000000000001E-2</v>
      </c>
      <c r="R21" s="30">
        <v>0.05</v>
      </c>
      <c r="T21" s="24"/>
      <c r="U21" s="24"/>
    </row>
    <row r="22" spans="1:31" ht="26.25" customHeight="1">
      <c r="A22" s="1" t="str">
        <f>A21</f>
        <v>Construção e Manutenção de Estações e Redes de Distribuição de Energia Elétrica</v>
      </c>
      <c r="B22" s="4" t="s">
        <v>8</v>
      </c>
      <c r="C22" s="1" t="str">
        <f t="shared" si="0"/>
        <v>Construção e Manutenção de Estações e Redes de Distribuição de Energia Elétrica-L</v>
      </c>
      <c r="E22" s="5">
        <v>0.08</v>
      </c>
      <c r="F22" s="5">
        <v>8.3100000000000007E-2</v>
      </c>
      <c r="G22" s="5">
        <v>9.5100000000000004E-2</v>
      </c>
      <c r="I22" s="26" t="s">
        <v>30</v>
      </c>
      <c r="J22" s="26"/>
      <c r="K22" s="26"/>
      <c r="L22" s="26"/>
      <c r="M22" s="27" t="s">
        <v>31</v>
      </c>
      <c r="N22" s="30">
        <f>IF(AND($I$8&lt;&gt;$A$54,$I$8&lt;&gt;$A$55,Q8="Sim"),4.5%,0%)</f>
        <v>4.4999999999999998E-2</v>
      </c>
      <c r="O22" s="29" t="str">
        <f>IF(AND(N22&gt;=P22, N22&lt;=R22), "OK", "Não OK")</f>
        <v>OK</v>
      </c>
      <c r="P22" s="32">
        <v>0</v>
      </c>
      <c r="Q22" s="32">
        <v>4.4999999999999998E-2</v>
      </c>
      <c r="R22" s="32">
        <v>4.4999999999999998E-2</v>
      </c>
    </row>
    <row r="23" spans="1:31" ht="30.75" customHeight="1">
      <c r="A23" s="1" t="str">
        <f>A22</f>
        <v>Construção e Manutenção de Estações e Redes de Distribuição de Energia Elétrica</v>
      </c>
      <c r="B23" s="10" t="s">
        <v>9</v>
      </c>
      <c r="C23" s="1" t="str">
        <f t="shared" si="0"/>
        <v>Construção e Manutenção de Estações e Redes de Distribuição de Energia Elétrica-BDI PAD</v>
      </c>
      <c r="E23" s="5">
        <v>0.24</v>
      </c>
      <c r="F23" s="5">
        <v>0.25840000000000002</v>
      </c>
      <c r="G23" s="5">
        <v>0.27860000000000001</v>
      </c>
      <c r="I23" s="26" t="s">
        <v>32</v>
      </c>
      <c r="J23" s="26"/>
      <c r="K23" s="26"/>
      <c r="L23" s="26"/>
      <c r="M23" s="33" t="s">
        <v>9</v>
      </c>
      <c r="N23" s="30">
        <f>ROUND((((1+N15+N16+N17)*(1+N18)*(1+N19)/(1-(N20+N21)))-1),4)</f>
        <v>0.2354</v>
      </c>
      <c r="O23" s="34" t="str">
        <f>IF(OR($I$8=$A$56,$I$8=$A$55,AND(N23&gt;=P23, N23&lt;=R23)), "OK", "FORA DO INTERVALO")</f>
        <v>OK</v>
      </c>
      <c r="P23" s="30">
        <f>IF($I$8=$A$55,0,VLOOKUP(CONCATENATE($I$8,"-",$M23),$C$2:$G$46,3,FALSE))</f>
        <v>0.19600000000000001</v>
      </c>
      <c r="Q23" s="30">
        <f>IF($I$8=$A$55,0,VLOOKUP(CONCATENATE($I$8,"-",$M23),$C$2:$G$46,4,FALSE))</f>
        <v>0.2097</v>
      </c>
      <c r="R23" s="30">
        <f>IF($I$8=$A$55,0,VLOOKUP(CONCATENATE($I$8,"-",$M23),$C$2:$G$46,5,FALSE))</f>
        <v>0.24230000000000002</v>
      </c>
      <c r="T23" s="3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30" customHeight="1">
      <c r="A24" s="1" t="s">
        <v>33</v>
      </c>
      <c r="B24" s="4" t="s">
        <v>4</v>
      </c>
      <c r="C24" s="1" t="str">
        <f t="shared" si="0"/>
        <v>Obras Portuárias, Marítimas e Fluviais-AC</v>
      </c>
      <c r="E24" s="5">
        <v>0.04</v>
      </c>
      <c r="F24" s="5">
        <v>5.5199999999999999E-2</v>
      </c>
      <c r="G24" s="5">
        <v>7.85E-2</v>
      </c>
      <c r="I24" s="36" t="s">
        <v>34</v>
      </c>
      <c r="J24" s="36"/>
      <c r="K24" s="36"/>
      <c r="L24" s="36"/>
      <c r="M24" s="37" t="s">
        <v>35</v>
      </c>
      <c r="N24" s="38">
        <f>IF($I$8=$A$55,0,ROUND((((1+N15+N16+N17)*(1+N18)*(1+N19)/(1-(N20+N21+N22)))-1),4))</f>
        <v>0.2979</v>
      </c>
      <c r="O24" s="39" t="str">
        <f>IF(Q8&lt;&gt;"Sim","",O23)</f>
        <v>OK</v>
      </c>
      <c r="P24" s="40"/>
      <c r="Q24" s="40"/>
      <c r="R24" s="40"/>
      <c r="T24" s="35"/>
      <c r="V24" s="41" t="b">
        <f>AND(COUNTA(N15:N20)=6,O23&lt;&gt;"ok",NOT(V26))</f>
        <v>0</v>
      </c>
      <c r="W24" s="1" t="s">
        <v>36</v>
      </c>
    </row>
    <row r="25" spans="1:31" ht="7.5" customHeight="1">
      <c r="A25" s="1" t="str">
        <f>A24</f>
        <v>Obras Portuárias, Marítimas e Fluviais</v>
      </c>
      <c r="B25" s="4" t="s">
        <v>5</v>
      </c>
      <c r="C25" s="1" t="str">
        <f t="shared" si="0"/>
        <v>Obras Portuárias, Marítimas e Fluviais-SG</v>
      </c>
      <c r="E25" s="5">
        <v>8.1000000000000013E-3</v>
      </c>
      <c r="F25" s="5">
        <v>1.2199999999999999E-2</v>
      </c>
      <c r="G25" s="5">
        <v>1.9900000000000001E-2</v>
      </c>
      <c r="V25" s="41"/>
    </row>
    <row r="26" spans="1:31" ht="21.75" customHeight="1">
      <c r="A26" s="1" t="str">
        <f>A25</f>
        <v>Obras Portuárias, Marítimas e Fluviais</v>
      </c>
      <c r="B26" s="4" t="s">
        <v>6</v>
      </c>
      <c r="C26" s="1" t="str">
        <f t="shared" si="0"/>
        <v>Obras Portuárias, Marítimas e Fluviais-R</v>
      </c>
      <c r="E26" s="5">
        <v>1.46E-2</v>
      </c>
      <c r="F26" s="5">
        <v>2.3199999999999998E-2</v>
      </c>
      <c r="G26" s="5">
        <v>3.1600000000000003E-2</v>
      </c>
      <c r="I26" s="42" t="str">
        <f>IF(V26,"X","")</f>
        <v/>
      </c>
      <c r="J26" s="43" t="s">
        <v>37</v>
      </c>
      <c r="K26" s="43"/>
      <c r="L26" s="43"/>
      <c r="M26" s="43"/>
      <c r="N26" s="43"/>
      <c r="O26" s="43"/>
      <c r="P26" s="43"/>
      <c r="Q26" s="43"/>
      <c r="R26" s="43"/>
      <c r="V26" s="41" t="b">
        <v>0</v>
      </c>
      <c r="W26" s="1" t="s">
        <v>38</v>
      </c>
    </row>
    <row r="27" spans="1:31" ht="7.5" customHeight="1">
      <c r="B27" s="4"/>
      <c r="E27" s="5"/>
      <c r="F27" s="5"/>
      <c r="G27" s="5"/>
      <c r="V27" s="41"/>
    </row>
    <row r="28" spans="1:31" ht="18.75" customHeight="1">
      <c r="B28" s="4"/>
      <c r="E28" s="5"/>
      <c r="F28" s="5"/>
      <c r="G28" s="5"/>
      <c r="I28" s="44" t="s">
        <v>39</v>
      </c>
      <c r="J28" s="44"/>
      <c r="K28" s="44"/>
      <c r="L28" s="44"/>
      <c r="M28" s="44"/>
      <c r="N28" s="44"/>
      <c r="O28" s="44"/>
      <c r="P28" s="44"/>
      <c r="Q28" s="44"/>
      <c r="R28" s="44"/>
    </row>
    <row r="29" spans="1:31" ht="30" customHeight="1">
      <c r="A29" s="1" t="str">
        <f>A26</f>
        <v>Obras Portuárias, Marítimas e Fluviais</v>
      </c>
      <c r="B29" s="4" t="s">
        <v>7</v>
      </c>
      <c r="C29" s="1" t="str">
        <f t="shared" si="0"/>
        <v>Obras Portuárias, Marítimas e Fluviais-DF</v>
      </c>
      <c r="E29" s="5">
        <v>9.3999999999999986E-3</v>
      </c>
      <c r="F29" s="5">
        <v>1.0200000000000001E-2</v>
      </c>
      <c r="G29" s="5">
        <v>1.3300000000000001E-2</v>
      </c>
      <c r="I29" s="45"/>
      <c r="J29" s="45"/>
      <c r="K29" s="45"/>
      <c r="L29" s="46" t="str">
        <f>IF(Q8="Sim","BDI.DES =","BDI.PAD =")</f>
        <v>BDI.DES =</v>
      </c>
      <c r="M29" s="47" t="str">
        <f>IF($I$8=$A$56,"(1+K1+K2)*(1+K3)","(1+AC + S + R + G)*(1 + DF)*(1+L)")</f>
        <v>(1+AC + S + R + G)*(1 + DF)*(1+L)</v>
      </c>
      <c r="N29" s="47"/>
      <c r="O29" s="47"/>
      <c r="P29" s="48" t="s">
        <v>40</v>
      </c>
      <c r="Q29" s="45"/>
      <c r="R29" s="45"/>
    </row>
    <row r="30" spans="1:31" ht="15.75">
      <c r="A30" s="1" t="str">
        <f>A29</f>
        <v>Obras Portuárias, Marítimas e Fluviais</v>
      </c>
      <c r="B30" s="4" t="s">
        <v>8</v>
      </c>
      <c r="C30" s="1" t="str">
        <f t="shared" si="0"/>
        <v>Obras Portuárias, Marítimas e Fluviais-L</v>
      </c>
      <c r="E30" s="5">
        <v>7.1399999999999991E-2</v>
      </c>
      <c r="F30" s="5">
        <v>8.4000000000000005E-2</v>
      </c>
      <c r="G30" s="5">
        <v>0.1043</v>
      </c>
      <c r="I30" s="45"/>
      <c r="J30" s="45"/>
      <c r="K30" s="45"/>
      <c r="L30" s="46"/>
      <c r="M30" s="49" t="str">
        <f>IF(Q8="Sim","(1-CP-ISS-CRPB)","(1-CP-ISS)")</f>
        <v>(1-CP-ISS-CRPB)</v>
      </c>
      <c r="N30" s="49"/>
      <c r="O30" s="49"/>
      <c r="P30" s="50"/>
      <c r="Q30" s="45"/>
      <c r="R30" s="45"/>
    </row>
    <row r="31" spans="1:31">
      <c r="A31" s="1" t="str">
        <f>A30</f>
        <v>Obras Portuárias, Marítimas e Fluviais</v>
      </c>
      <c r="B31" s="10" t="s">
        <v>9</v>
      </c>
      <c r="C31" s="1" t="str">
        <f t="shared" si="0"/>
        <v>Obras Portuárias, Marítimas e Fluviais-BDI PAD</v>
      </c>
      <c r="E31" s="5">
        <v>0.22800000000000001</v>
      </c>
      <c r="F31" s="5">
        <v>0.27479999999999999</v>
      </c>
      <c r="G31" s="5">
        <v>0.3095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31" ht="50.25" customHeight="1">
      <c r="B32" s="10"/>
      <c r="E32" s="5"/>
      <c r="F32" s="5"/>
      <c r="G32" s="5"/>
      <c r="I32" s="52" t="str">
        <f>CONCATENATE("Declaro para os devidos fins que, conforme legislação tributária municipal, a base de cálculo para ",I8,", é de ",Q10*100,"%, com a respectiva alíquota de ",Q11*100,"%.")</f>
        <v>Declaro para os devidos fins que, conforme legislação tributária municipal, a base de cálculo para Construção de Praças Urbanas, Rodovias, Ferrovias e recapeamento e pavimentação de vias urbanas, é de 100%, com a respectiva alíquota de 3%.</v>
      </c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6.5" customHeight="1">
      <c r="B33" s="10"/>
      <c r="E33" s="5"/>
      <c r="F33" s="5"/>
      <c r="G33" s="5"/>
    </row>
    <row r="34" spans="1:18" ht="51.75" customHeight="1">
      <c r="B34" s="10"/>
      <c r="E34" s="5"/>
      <c r="F34" s="5"/>
      <c r="G34" s="5"/>
      <c r="I34" s="52" t="str">
        <f>CONCATENATE("Declaro para os devidos fins que o regime de Contribuição Previdenciária sobre a Receita Bruta adotado para elaboração do orçamento foi ",IF(Q8="Sim","COM","SEM"),"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4" s="52"/>
      <c r="K34" s="52"/>
      <c r="L34" s="52"/>
      <c r="M34" s="52"/>
      <c r="N34" s="52"/>
      <c r="O34" s="52"/>
      <c r="P34" s="52"/>
      <c r="Q34" s="52"/>
      <c r="R34" s="52"/>
    </row>
    <row r="35" spans="1:18">
      <c r="A35" s="1" t="s">
        <v>41</v>
      </c>
      <c r="B35" s="4" t="s">
        <v>4</v>
      </c>
      <c r="C35" s="1" t="str">
        <f t="shared" si="0"/>
        <v>Fornecimento de Materiais e Equipamentos (aquisição indireta - em conjunto com licitação de obras)-AC</v>
      </c>
      <c r="E35" s="5">
        <v>1.4999999999999999E-2</v>
      </c>
      <c r="F35" s="5">
        <v>3.4500000000000003E-2</v>
      </c>
      <c r="G35" s="5">
        <v>4.4900000000000002E-2</v>
      </c>
    </row>
    <row r="36" spans="1:18">
      <c r="A36" s="1" t="str">
        <f>A35</f>
        <v>Fornecimento de Materiais e Equipamentos (aquisição indireta - em conjunto com licitação de obras)</v>
      </c>
      <c r="B36" s="4" t="s">
        <v>5</v>
      </c>
      <c r="C36" s="1" t="str">
        <f t="shared" si="0"/>
        <v>Fornecimento de Materiais e Equipamentos (aquisição indireta - em conjunto com licitação de obras)-SG</v>
      </c>
      <c r="E36" s="5">
        <v>3.0000000000000001E-3</v>
      </c>
      <c r="F36" s="5">
        <v>4.7999999999999996E-3</v>
      </c>
      <c r="G36" s="5">
        <v>8.199999999999999E-3</v>
      </c>
      <c r="I36" s="1" t="s">
        <v>42</v>
      </c>
    </row>
    <row r="37" spans="1:18">
      <c r="A37" s="1" t="str">
        <f>A36</f>
        <v>Fornecimento de Materiais e Equipamentos (aquisição indireta - em conjunto com licitação de obras)</v>
      </c>
      <c r="B37" s="4" t="s">
        <v>6</v>
      </c>
      <c r="C37" s="1" t="str">
        <f t="shared" si="0"/>
        <v>Fornecimento de Materiais e Equipamentos (aquisição indireta - em conjunto com licitação de obras)-R</v>
      </c>
      <c r="E37" s="5">
        <v>5.6000000000000008E-3</v>
      </c>
      <c r="F37" s="5">
        <v>8.5000000000000006E-3</v>
      </c>
      <c r="G37" s="5">
        <v>8.8999999999999999E-3</v>
      </c>
      <c r="I37" s="53"/>
      <c r="J37" s="54"/>
      <c r="K37" s="54"/>
      <c r="L37" s="54"/>
      <c r="M37" s="54"/>
      <c r="N37" s="54"/>
      <c r="O37" s="54"/>
      <c r="P37" s="54"/>
      <c r="Q37" s="54"/>
      <c r="R37" s="55"/>
    </row>
    <row r="38" spans="1:18">
      <c r="A38" s="1" t="str">
        <f>A37</f>
        <v>Fornecimento de Materiais e Equipamentos (aquisição indireta - em conjunto com licitação de obras)</v>
      </c>
      <c r="B38" s="4" t="s">
        <v>7</v>
      </c>
      <c r="C38" s="1" t="str">
        <f t="shared" si="0"/>
        <v>Fornecimento de Materiais e Equipamentos (aquisição indireta - em conjunto com licitação de obras)-DF</v>
      </c>
      <c r="E38" s="5">
        <v>8.5000000000000006E-3</v>
      </c>
      <c r="F38" s="5">
        <v>8.5000000000000006E-3</v>
      </c>
      <c r="G38" s="5">
        <v>1.11E-2</v>
      </c>
    </row>
    <row r="39" spans="1:18">
      <c r="A39" s="1" t="str">
        <f>A38</f>
        <v>Fornecimento de Materiais e Equipamentos (aquisição indireta - em conjunto com licitação de obras)</v>
      </c>
      <c r="B39" s="4" t="s">
        <v>8</v>
      </c>
      <c r="C39" s="1" t="str">
        <f t="shared" si="0"/>
        <v>Fornecimento de Materiais e Equipamentos (aquisição indireta - em conjunto com licitação de obras)-L</v>
      </c>
      <c r="E39" s="5">
        <v>3.5000000000000003E-2</v>
      </c>
      <c r="F39" s="5">
        <v>5.1100000000000007E-2</v>
      </c>
      <c r="G39" s="5">
        <v>6.2199999999999998E-2</v>
      </c>
      <c r="I39" s="56" t="str">
        <f>[1]PO!K43</f>
        <v>SALVADOR DAS MISSÕES</v>
      </c>
      <c r="J39" s="56"/>
      <c r="K39" s="56"/>
      <c r="L39" s="56"/>
      <c r="O39" s="57" t="s">
        <v>54</v>
      </c>
      <c r="P39" s="57"/>
      <c r="Q39" s="57"/>
      <c r="R39" s="57"/>
    </row>
    <row r="40" spans="1:18">
      <c r="A40" s="1" t="str">
        <f>A39</f>
        <v>Fornecimento de Materiais e Equipamentos (aquisição indireta - em conjunto com licitação de obras)</v>
      </c>
      <c r="B40" s="10" t="s">
        <v>9</v>
      </c>
      <c r="C40" s="1" t="str">
        <f t="shared" si="0"/>
        <v>Fornecimento de Materiais e Equipamentos (aquisição indireta - em conjunto com licitação de obras)-BDI PAD</v>
      </c>
      <c r="E40" s="5">
        <v>0.111</v>
      </c>
      <c r="F40" s="5">
        <v>0.14019999999999999</v>
      </c>
      <c r="G40" s="5">
        <v>0.16800000000000001</v>
      </c>
      <c r="I40" s="58" t="s">
        <v>43</v>
      </c>
      <c r="J40" s="58"/>
      <c r="K40" s="58"/>
      <c r="L40" s="58"/>
      <c r="N40" s="59"/>
      <c r="O40" s="60" t="s">
        <v>44</v>
      </c>
      <c r="P40" s="61"/>
      <c r="Q40" s="61"/>
      <c r="R40" s="61"/>
    </row>
    <row r="41" spans="1:18">
      <c r="A41" s="1" t="s">
        <v>45</v>
      </c>
      <c r="B41" s="4" t="s">
        <v>46</v>
      </c>
      <c r="C41" s="1" t="str">
        <f t="shared" si="0"/>
        <v>Estudos e Projetos, Planos e Gerenciamento e outros correlatos-K1</v>
      </c>
      <c r="E41" s="5" t="s">
        <v>24</v>
      </c>
      <c r="F41" s="5" t="s">
        <v>24</v>
      </c>
      <c r="G41" s="5" t="s">
        <v>24</v>
      </c>
    </row>
    <row r="42" spans="1:18" ht="15">
      <c r="A42" s="1" t="str">
        <f>A41</f>
        <v>Estudos e Projetos, Planos e Gerenciamento e outros correlatos</v>
      </c>
      <c r="B42" s="4" t="s">
        <v>47</v>
      </c>
      <c r="C42" s="1" t="str">
        <f t="shared" si="0"/>
        <v>Estudos e Projetos, Planos e Gerenciamento e outros correlatos-K2</v>
      </c>
      <c r="E42" s="5" t="s">
        <v>24</v>
      </c>
      <c r="F42" s="5">
        <v>0.2</v>
      </c>
      <c r="G42" s="5" t="s">
        <v>24</v>
      </c>
      <c r="I42" s="62"/>
      <c r="J42" s="62"/>
      <c r="K42" s="62"/>
      <c r="L42" s="62"/>
      <c r="M42" s="63"/>
      <c r="N42" s="63"/>
      <c r="O42" s="62"/>
      <c r="P42" s="62"/>
      <c r="Q42" s="62"/>
      <c r="R42" s="62"/>
    </row>
    <row r="43" spans="1:18">
      <c r="A43" s="1" t="str">
        <f>A42</f>
        <v>Estudos e Projetos, Planos e Gerenciamento e outros correlatos</v>
      </c>
      <c r="B43" s="4" t="s">
        <v>48</v>
      </c>
      <c r="C43" s="1" t="str">
        <f t="shared" si="0"/>
        <v>Estudos e Projetos, Planos e Gerenciamento e outros correlatos-</v>
      </c>
      <c r="E43" s="5" t="s">
        <v>24</v>
      </c>
      <c r="F43" s="5" t="s">
        <v>24</v>
      </c>
      <c r="G43" s="5" t="s">
        <v>24</v>
      </c>
      <c r="I43" s="64" t="s">
        <v>49</v>
      </c>
      <c r="J43" s="64"/>
      <c r="K43" s="64"/>
      <c r="L43" s="64"/>
      <c r="M43" s="65"/>
      <c r="N43" s="65"/>
      <c r="O43" s="64" t="s">
        <v>55</v>
      </c>
      <c r="P43" s="64"/>
      <c r="Q43" s="64"/>
      <c r="R43" s="64"/>
    </row>
    <row r="44" spans="1:18" ht="14.25">
      <c r="A44" s="1" t="str">
        <f>A43</f>
        <v>Estudos e Projetos, Planos e Gerenciamento e outros correlatos</v>
      </c>
      <c r="B44" s="4" t="s">
        <v>48</v>
      </c>
      <c r="C44" s="1" t="str">
        <f t="shared" si="0"/>
        <v>Estudos e Projetos, Planos e Gerenciamento e outros correlatos-</v>
      </c>
      <c r="E44" s="5" t="s">
        <v>24</v>
      </c>
      <c r="F44" s="5" t="s">
        <v>24</v>
      </c>
      <c r="G44" s="5" t="s">
        <v>24</v>
      </c>
      <c r="I44" s="66" t="s">
        <v>50</v>
      </c>
      <c r="J44" s="67" t="str">
        <f>[1]DADOS!B48</f>
        <v>Pedro Luis Kraemer</v>
      </c>
      <c r="K44" s="67"/>
      <c r="L44" s="67"/>
      <c r="M44" s="68"/>
      <c r="N44" s="68"/>
      <c r="O44" s="68"/>
      <c r="P44" s="68"/>
      <c r="Q44" s="68"/>
      <c r="R44" s="68"/>
    </row>
    <row r="45" spans="1:18" ht="14.25">
      <c r="A45" s="1" t="str">
        <f>A44</f>
        <v>Estudos e Projetos, Planos e Gerenciamento e outros correlatos</v>
      </c>
      <c r="B45" s="4" t="s">
        <v>51</v>
      </c>
      <c r="C45" s="1" t="str">
        <f t="shared" si="0"/>
        <v>Estudos e Projetos, Planos e Gerenciamento e outros correlatos-K3</v>
      </c>
      <c r="E45" s="5" t="s">
        <v>24</v>
      </c>
      <c r="F45" s="5">
        <v>0.12</v>
      </c>
      <c r="G45" s="5" t="s">
        <v>24</v>
      </c>
      <c r="I45" s="66" t="s">
        <v>52</v>
      </c>
      <c r="J45" s="67" t="str">
        <f>[1]DADOS!B49</f>
        <v>Engenheiro Civil</v>
      </c>
      <c r="K45" s="67"/>
      <c r="L45" s="67"/>
      <c r="M45" s="68"/>
      <c r="N45" s="68"/>
      <c r="O45" s="68"/>
      <c r="P45" s="68"/>
      <c r="Q45" s="68"/>
      <c r="R45" s="68"/>
    </row>
    <row r="46" spans="1:18" ht="14.25">
      <c r="A46" s="1" t="str">
        <f>A45</f>
        <v>Estudos e Projetos, Planos e Gerenciamento e outros correlatos</v>
      </c>
      <c r="B46" s="10" t="s">
        <v>9</v>
      </c>
      <c r="C46" s="1" t="str">
        <f t="shared" si="0"/>
        <v>Estudos e Projetos, Planos e Gerenciamento e outros correlatos-BDI PAD</v>
      </c>
      <c r="E46" s="5" t="s">
        <v>24</v>
      </c>
      <c r="F46" s="5" t="s">
        <v>24</v>
      </c>
      <c r="G46" s="5" t="s">
        <v>24</v>
      </c>
      <c r="I46" s="66" t="str">
        <f>[1]DADOS!A50</f>
        <v>CREA/CAU:</v>
      </c>
      <c r="J46" s="67" t="str">
        <f>[1]DADOS!B50</f>
        <v>91807D</v>
      </c>
      <c r="K46" s="67"/>
      <c r="L46" s="67"/>
      <c r="M46" s="68"/>
      <c r="N46" s="68"/>
      <c r="O46" s="68"/>
      <c r="P46" s="68"/>
      <c r="Q46" s="68"/>
      <c r="R46" s="68"/>
    </row>
    <row r="47" spans="1:18">
      <c r="I47" s="66"/>
      <c r="J47" s="67"/>
      <c r="K47" s="67"/>
      <c r="L47" s="67"/>
    </row>
    <row r="48" spans="1:18"/>
    <row r="49" spans="1:7">
      <c r="A49" s="1" t="s">
        <v>3</v>
      </c>
    </row>
    <row r="50" spans="1:7">
      <c r="A50" s="1" t="s">
        <v>11</v>
      </c>
    </row>
    <row r="51" spans="1:7">
      <c r="A51" s="1" t="s">
        <v>15</v>
      </c>
    </row>
    <row r="52" spans="1:7">
      <c r="A52" s="1" t="s">
        <v>25</v>
      </c>
    </row>
    <row r="53" spans="1:7">
      <c r="A53" s="1" t="s">
        <v>33</v>
      </c>
    </row>
    <row r="54" spans="1:7">
      <c r="A54" s="1" t="s">
        <v>41</v>
      </c>
    </row>
    <row r="55" spans="1:7">
      <c r="A55" s="1" t="s">
        <v>53</v>
      </c>
    </row>
    <row r="56" spans="1:7">
      <c r="A56" s="1" t="s">
        <v>45</v>
      </c>
    </row>
    <row r="57" spans="1:7" ht="14.25">
      <c r="A57" s="69"/>
      <c r="B57" s="68"/>
      <c r="C57" s="68"/>
      <c r="D57" s="68"/>
      <c r="E57" s="68"/>
      <c r="F57" s="68"/>
      <c r="G57" s="68"/>
    </row>
    <row r="58" spans="1:7" ht="12.75" customHeight="1"/>
    <row r="59" spans="1:7" ht="12.75" customHeight="1"/>
    <row r="60" spans="1:7" ht="12.75" customHeight="1"/>
  </sheetData>
  <mergeCells count="49">
    <mergeCell ref="J46:L46"/>
    <mergeCell ref="J47:L47"/>
    <mergeCell ref="I43:L43"/>
    <mergeCell ref="O43:R43"/>
    <mergeCell ref="J44:L44"/>
    <mergeCell ref="J45:L45"/>
    <mergeCell ref="I37:R37"/>
    <mergeCell ref="I39:L39"/>
    <mergeCell ref="O39:R39"/>
    <mergeCell ref="I40:L40"/>
    <mergeCell ref="I42:L42"/>
    <mergeCell ref="O42:R42"/>
    <mergeCell ref="L29:L30"/>
    <mergeCell ref="M29:O29"/>
    <mergeCell ref="P29:P30"/>
    <mergeCell ref="M30:O30"/>
    <mergeCell ref="I32:R32"/>
    <mergeCell ref="I34:R34"/>
    <mergeCell ref="I22:L22"/>
    <mergeCell ref="I23:L23"/>
    <mergeCell ref="I24:L24"/>
    <mergeCell ref="P24:R24"/>
    <mergeCell ref="J26:R26"/>
    <mergeCell ref="I28:R28"/>
    <mergeCell ref="T13:U21"/>
    <mergeCell ref="I15:L15"/>
    <mergeCell ref="I16:L16"/>
    <mergeCell ref="I17:L17"/>
    <mergeCell ref="I18:L18"/>
    <mergeCell ref="I19:L19"/>
    <mergeCell ref="I20:L20"/>
    <mergeCell ref="I21:L21"/>
    <mergeCell ref="I11:P11"/>
    <mergeCell ref="Q11:R11"/>
    <mergeCell ref="I13:L14"/>
    <mergeCell ref="M13:M14"/>
    <mergeCell ref="N13:N14"/>
    <mergeCell ref="O13:O14"/>
    <mergeCell ref="P13:P14"/>
    <mergeCell ref="Q13:Q14"/>
    <mergeCell ref="R13:R14"/>
    <mergeCell ref="I7:P7"/>
    <mergeCell ref="Q7:R7"/>
    <mergeCell ref="I8:P8"/>
    <mergeCell ref="Q8:R8"/>
    <mergeCell ref="I10:P10"/>
    <mergeCell ref="Q10:R10"/>
    <mergeCell ref="I4:R4"/>
    <mergeCell ref="I5:R5"/>
  </mergeCells>
  <conditionalFormatting sqref="O39">
    <cfRule type="expression" dxfId="9" priority="10" stopIfTrue="1">
      <formula>$O$39=""</formula>
    </cfRule>
  </conditionalFormatting>
  <conditionalFormatting sqref="O15:O24">
    <cfRule type="expression" dxfId="8" priority="8" stopIfTrue="1">
      <formula>AND(O15&lt;&gt;"OK",O15&lt;&gt;"-",O15&lt;&gt;"")</formula>
    </cfRule>
    <cfRule type="cellIs" dxfId="7" priority="9" stopIfTrue="1" operator="equal">
      <formula>"OK"</formula>
    </cfRule>
  </conditionalFormatting>
  <conditionalFormatting sqref="I23:N23">
    <cfRule type="expression" dxfId="6" priority="7" stopIfTrue="1">
      <formula>$Q$8="Não"</formula>
    </cfRule>
  </conditionalFormatting>
  <conditionalFormatting sqref="I24:N24">
    <cfRule type="expression" dxfId="5" priority="6" stopIfTrue="1">
      <formula>$Q$8="sim"</formula>
    </cfRule>
  </conditionalFormatting>
  <conditionalFormatting sqref="P24:R24">
    <cfRule type="expression" dxfId="4" priority="5" stopIfTrue="1">
      <formula>$Q$8="sim"</formula>
    </cfRule>
  </conditionalFormatting>
  <conditionalFormatting sqref="I32:R32 I10:R11">
    <cfRule type="expression" dxfId="2" priority="3" stopIfTrue="1">
      <formula>$I$8=$A$54</formula>
    </cfRule>
  </conditionalFormatting>
  <conditionalFormatting sqref="I26:R26">
    <cfRule type="expression" dxfId="1" priority="2" stopIfTrue="1">
      <formula>AND(NOT($V$24),NOT($V$26))</formula>
    </cfRule>
  </conditionalFormatting>
  <conditionalFormatting sqref="P15:R23">
    <cfRule type="expression" dxfId="0" priority="1" stopIfTrue="1">
      <formula>$I$8=$A$55</formula>
    </cfRule>
  </conditionalFormatting>
  <dataValidations disablePrompts="1" count="6">
    <dataValidation type="decimal" allowBlank="1" showInputMessage="1" showErrorMessage="1" errorTitle="Erro de valores" error="Digite um valor entre 0% e 100%" sqref="N15:N20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1:R11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0:R10">
      <formula1>0</formula1>
      <formula2>1</formula2>
    </dataValidation>
    <dataValidation type="decimal" allowBlank="1" showInputMessage="1" showErrorMessage="1" errorTitle="Erro de valores" error="Digite um valor maior do que 0." sqref="N21">
      <formula1>0</formula1>
      <formula2>1</formula2>
    </dataValidation>
    <dataValidation operator="greaterThanOrEqual" allowBlank="1" showInputMessage="1" showErrorMessage="1" errorTitle="Erro de valores" error="Digite um valor igual a 0% ou 2%." sqref="N22"/>
    <dataValidation type="list" allowBlank="1" showInputMessage="1" showErrorMessage="1" sqref="I8:P8">
      <formula1>$A$49:$A$56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2019-04-11T13:35:34Z</dcterms:created>
  <dcterms:modified xsi:type="dcterms:W3CDTF">2019-04-11T13:39:37Z</dcterms:modified>
</cp:coreProperties>
</file>